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0" windowWidth="11355" windowHeight="9210"/>
  </bookViews>
  <sheets>
    <sheet name="Plan1" sheetId="1" r:id="rId1"/>
  </sheets>
  <calcPr calcId="125725"/>
</workbook>
</file>

<file path=xl/calcChain.xml><?xml version="1.0" encoding="utf-8"?>
<calcChain xmlns="http://schemas.openxmlformats.org/spreadsheetml/2006/main">
  <c r="B79" i="1"/>
  <c r="B78"/>
  <c r="K55"/>
  <c r="J55"/>
  <c r="I55"/>
  <c r="H55"/>
  <c r="G55"/>
  <c r="F55"/>
  <c r="E55"/>
  <c r="D55"/>
  <c r="C55"/>
  <c r="B55"/>
  <c r="K54"/>
  <c r="J54"/>
  <c r="I54"/>
  <c r="H54"/>
  <c r="G54"/>
  <c r="F54"/>
  <c r="E54"/>
  <c r="D54"/>
  <c r="C54"/>
  <c r="B54"/>
  <c r="K53"/>
  <c r="J53"/>
  <c r="I53"/>
  <c r="H53"/>
  <c r="G53"/>
  <c r="F53"/>
  <c r="E53"/>
  <c r="D53"/>
  <c r="C53"/>
  <c r="B53"/>
  <c r="K48"/>
  <c r="J48"/>
  <c r="I48"/>
  <c r="H48"/>
  <c r="G48"/>
  <c r="F48"/>
  <c r="E48"/>
  <c r="D48"/>
  <c r="C48"/>
  <c r="B48"/>
  <c r="K47"/>
  <c r="J47"/>
  <c r="I47"/>
  <c r="H47"/>
  <c r="G47"/>
  <c r="F47"/>
  <c r="E47"/>
  <c r="D47"/>
  <c r="C47"/>
  <c r="B47"/>
  <c r="K46"/>
  <c r="J46"/>
  <c r="I46"/>
  <c r="H46"/>
  <c r="G46"/>
  <c r="F46"/>
  <c r="E46"/>
  <c r="D46"/>
  <c r="C46"/>
  <c r="B46"/>
  <c r="K41"/>
  <c r="J41"/>
  <c r="I41"/>
  <c r="H41"/>
  <c r="G41"/>
  <c r="F41"/>
  <c r="E41"/>
  <c r="D41"/>
  <c r="C41"/>
  <c r="B41"/>
  <c r="K40"/>
  <c r="J40"/>
  <c r="I40"/>
  <c r="H40"/>
  <c r="G40"/>
  <c r="F40"/>
  <c r="E40"/>
  <c r="D40"/>
  <c r="C40"/>
  <c r="B40"/>
  <c r="K39"/>
  <c r="J39"/>
  <c r="I39"/>
  <c r="H39"/>
  <c r="G39"/>
  <c r="F39"/>
  <c r="E39"/>
  <c r="D39"/>
  <c r="C39"/>
  <c r="B39"/>
  <c r="K34"/>
  <c r="J34"/>
  <c r="I34"/>
  <c r="H34"/>
  <c r="G34"/>
  <c r="F34"/>
  <c r="E34"/>
  <c r="D34"/>
  <c r="C34"/>
  <c r="B34"/>
  <c r="K33"/>
  <c r="J33"/>
  <c r="I33"/>
  <c r="H33"/>
  <c r="G33"/>
  <c r="F33"/>
  <c r="E33"/>
  <c r="D33"/>
  <c r="C33"/>
  <c r="B33"/>
  <c r="K32"/>
  <c r="J32"/>
  <c r="I32"/>
  <c r="H32"/>
  <c r="G32"/>
  <c r="F32"/>
  <c r="E32"/>
  <c r="D32"/>
  <c r="C32"/>
  <c r="B32"/>
  <c r="K27"/>
  <c r="J27"/>
  <c r="I27"/>
  <c r="F27"/>
  <c r="E27"/>
  <c r="D27"/>
  <c r="C27"/>
  <c r="K26"/>
  <c r="J26"/>
  <c r="I26"/>
  <c r="F26"/>
  <c r="E26"/>
  <c r="D26"/>
  <c r="C26"/>
  <c r="K25"/>
  <c r="J25"/>
  <c r="I25"/>
  <c r="F25"/>
  <c r="E25"/>
  <c r="D25"/>
  <c r="C25"/>
</calcChain>
</file>

<file path=xl/sharedStrings.xml><?xml version="1.0" encoding="utf-8"?>
<sst xmlns="http://schemas.openxmlformats.org/spreadsheetml/2006/main" count="134" uniqueCount="61">
  <si>
    <t>Cargos de Provimento Efetivo</t>
  </si>
  <si>
    <t>Agente Operacional</t>
  </si>
  <si>
    <t>Telefonista</t>
  </si>
  <si>
    <t>Vigia</t>
  </si>
  <si>
    <t>Motorista</t>
  </si>
  <si>
    <t>Agente Administrativo</t>
  </si>
  <si>
    <t>Assistente Legislativo</t>
  </si>
  <si>
    <t>Contador</t>
  </si>
  <si>
    <t>Jornalista</t>
  </si>
  <si>
    <t>A</t>
  </si>
  <si>
    <t>B</t>
  </si>
  <si>
    <t>C</t>
  </si>
  <si>
    <t>D</t>
  </si>
  <si>
    <t>E</t>
  </si>
  <si>
    <t>Contínuo</t>
  </si>
  <si>
    <t>Jardineiro</t>
  </si>
  <si>
    <t>Técnico de Compras, Almoxarifado e Patrimônio</t>
  </si>
  <si>
    <t>Técnico em Recursos Humanos</t>
  </si>
  <si>
    <t>GRUPO A</t>
  </si>
  <si>
    <t>F</t>
  </si>
  <si>
    <t>G</t>
  </si>
  <si>
    <t>H</t>
  </si>
  <si>
    <t>I</t>
  </si>
  <si>
    <t>J</t>
  </si>
  <si>
    <t>II</t>
  </si>
  <si>
    <t>III</t>
  </si>
  <si>
    <t>GRUPO B</t>
  </si>
  <si>
    <t>GRUPO C</t>
  </si>
  <si>
    <t>GRUPO D</t>
  </si>
  <si>
    <t>GRUPO E</t>
  </si>
  <si>
    <t>Cargos de Provimento em Comissão</t>
  </si>
  <si>
    <t>Diretor</t>
  </si>
  <si>
    <t>Chefe de Setor</t>
  </si>
  <si>
    <t>Agentes Políticos</t>
  </si>
  <si>
    <t>Vereador</t>
  </si>
  <si>
    <t>Presidente</t>
  </si>
  <si>
    <t>Grupo Salarial</t>
  </si>
  <si>
    <t>Salário</t>
  </si>
  <si>
    <t>Subsídio</t>
  </si>
  <si>
    <t>Qtde</t>
  </si>
  <si>
    <t xml:space="preserve">Diretor de Secretaria </t>
  </si>
  <si>
    <t>Biblioteconomista</t>
  </si>
  <si>
    <t>Técnico de Informática</t>
  </si>
  <si>
    <t>Técnico Administrativo</t>
  </si>
  <si>
    <t>Gratificação</t>
  </si>
  <si>
    <t xml:space="preserve">Assessor Técnico </t>
  </si>
  <si>
    <t>Assessor Parlamentar A</t>
  </si>
  <si>
    <t>Assessor Parlamentar B</t>
  </si>
  <si>
    <t>Assessor Parlamentar C</t>
  </si>
  <si>
    <t>Procurador da Câmara</t>
  </si>
  <si>
    <t>Assessor da Presidência</t>
  </si>
  <si>
    <t>Funções de Confiança</t>
  </si>
  <si>
    <t>Procurador Chefe</t>
  </si>
  <si>
    <t>Assistência Superior</t>
  </si>
  <si>
    <t>Presidente de Comissão de Licitação</t>
  </si>
  <si>
    <t>Pregoeiro</t>
  </si>
  <si>
    <t>Membro de Equipe de Apoio</t>
  </si>
  <si>
    <t>Membro de Comissão de Licitação</t>
  </si>
  <si>
    <t>20% (Salário Base)</t>
  </si>
  <si>
    <t>10% (Salário Base)</t>
  </si>
  <si>
    <t>CARGOS (OCUPADOS) E SALÁRIOS - MARÇO/2012</t>
  </si>
</sst>
</file>

<file path=xl/styles.xml><?xml version="1.0" encoding="utf-8"?>
<styleSheet xmlns="http://schemas.openxmlformats.org/spreadsheetml/2006/main">
  <numFmts count="4">
    <numFmt numFmtId="8" formatCode="&quot;R$&quot;\ #,##0.00;[Red]\-&quot;R$&quot;\ #,##0.00"/>
    <numFmt numFmtId="43" formatCode="_-* #,##0.00_-;\-* #,##0.00_-;_-* &quot;-&quot;??_-;_-@_-"/>
    <numFmt numFmtId="164" formatCode="_(* #,##0.00_);_(* \(#,##0.00\);_(* &quot;-&quot;??_);_(@_)"/>
    <numFmt numFmtId="165" formatCode="&quot;R$ &quot;#,##0.00"/>
  </numFmts>
  <fonts count="7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</font>
    <font>
      <b/>
      <u/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164" fontId="0" fillId="0" borderId="1" xfId="1" applyFont="1" applyBorder="1"/>
    <xf numFmtId="164" fontId="0" fillId="0" borderId="2" xfId="1" applyFont="1" applyBorder="1"/>
    <xf numFmtId="164" fontId="0" fillId="0" borderId="0" xfId="1" applyFont="1" applyBorder="1"/>
    <xf numFmtId="164" fontId="0" fillId="0" borderId="3" xfId="1" applyFont="1" applyBorder="1"/>
    <xf numFmtId="164" fontId="0" fillId="0" borderId="4" xfId="1" applyFont="1" applyBorder="1"/>
    <xf numFmtId="164" fontId="0" fillId="0" borderId="5" xfId="1" applyFont="1" applyBorder="1"/>
    <xf numFmtId="164" fontId="0" fillId="0" borderId="6" xfId="1" applyFont="1" applyBorder="1"/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164" fontId="0" fillId="0" borderId="10" xfId="1" applyFont="1" applyBorder="1"/>
    <xf numFmtId="164" fontId="0" fillId="0" borderId="11" xfId="1" applyFont="1" applyBorder="1"/>
    <xf numFmtId="164" fontId="0" fillId="0" borderId="12" xfId="1" applyFont="1" applyBorder="1"/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0" xfId="0" applyFont="1" applyFill="1" applyBorder="1"/>
    <xf numFmtId="0" fontId="2" fillId="0" borderId="16" xfId="0" applyFont="1" applyFill="1" applyBorder="1"/>
    <xf numFmtId="0" fontId="2" fillId="0" borderId="3" xfId="0" applyFont="1" applyFill="1" applyBorder="1"/>
    <xf numFmtId="0" fontId="2" fillId="0" borderId="17" xfId="0" applyFont="1" applyFill="1" applyBorder="1"/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/>
    <xf numFmtId="0" fontId="2" fillId="0" borderId="18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6" xfId="0" applyFont="1" applyFill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165" fontId="2" fillId="0" borderId="4" xfId="0" applyNumberFormat="1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165" fontId="2" fillId="0" borderId="2" xfId="0" applyNumberFormat="1" applyFont="1" applyFill="1" applyBorder="1" applyAlignment="1">
      <alignment horizontal="center"/>
    </xf>
    <xf numFmtId="0" fontId="3" fillId="0" borderId="9" xfId="0" applyFont="1" applyFill="1" applyBorder="1"/>
    <xf numFmtId="165" fontId="2" fillId="0" borderId="4" xfId="0" applyNumberFormat="1" applyFont="1" applyFill="1" applyBorder="1"/>
    <xf numFmtId="165" fontId="2" fillId="0" borderId="2" xfId="0" applyNumberFormat="1" applyFont="1" applyFill="1" applyBorder="1"/>
    <xf numFmtId="165" fontId="2" fillId="0" borderId="0" xfId="0" applyNumberFormat="1" applyFont="1" applyFill="1" applyBorder="1" applyAlignment="1">
      <alignment horizontal="center"/>
    </xf>
    <xf numFmtId="165" fontId="3" fillId="0" borderId="8" xfId="0" applyNumberFormat="1" applyFont="1" applyFill="1" applyBorder="1" applyAlignment="1">
      <alignment horizontal="center"/>
    </xf>
    <xf numFmtId="43" fontId="2" fillId="0" borderId="0" xfId="0" applyNumberFormat="1" applyFont="1" applyFill="1" applyBorder="1"/>
    <xf numFmtId="0" fontId="2" fillId="0" borderId="19" xfId="0" applyFont="1" applyFill="1" applyBorder="1" applyAlignment="1">
      <alignment horizontal="center"/>
    </xf>
    <xf numFmtId="0" fontId="2" fillId="0" borderId="20" xfId="0" applyFont="1" applyFill="1" applyBorder="1"/>
    <xf numFmtId="8" fontId="0" fillId="0" borderId="1" xfId="0" applyNumberFormat="1" applyBorder="1" applyAlignment="1">
      <alignment horizontal="center"/>
    </xf>
    <xf numFmtId="9" fontId="6" fillId="0" borderId="1" xfId="0" applyNumberFormat="1" applyFont="1" applyFill="1" applyBorder="1" applyAlignment="1">
      <alignment horizontal="center"/>
    </xf>
    <xf numFmtId="8" fontId="2" fillId="0" borderId="1" xfId="0" applyNumberFormat="1" applyFont="1" applyFill="1" applyBorder="1" applyAlignment="1">
      <alignment horizontal="center"/>
    </xf>
    <xf numFmtId="8" fontId="2" fillId="0" borderId="4" xfId="0" applyNumberFormat="1" applyFont="1" applyFill="1" applyBorder="1" applyAlignment="1">
      <alignment horizontal="center"/>
    </xf>
    <xf numFmtId="9" fontId="6" fillId="0" borderId="2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83"/>
  <sheetViews>
    <sheetView tabSelected="1" workbookViewId="0">
      <selection activeCell="C69" sqref="C69:C74"/>
    </sheetView>
  </sheetViews>
  <sheetFormatPr defaultRowHeight="12.75"/>
  <cols>
    <col min="1" max="1" width="41.85546875" bestFit="1" customWidth="1"/>
    <col min="2" max="2" width="16" customWidth="1"/>
    <col min="3" max="11" width="10.28515625" bestFit="1" customWidth="1"/>
  </cols>
  <sheetData>
    <row r="2" spans="1:11">
      <c r="A2" s="52" t="s">
        <v>60</v>
      </c>
      <c r="B2" s="52"/>
      <c r="C2" s="52"/>
      <c r="D2" s="52"/>
      <c r="E2" s="52"/>
      <c r="F2" s="52"/>
      <c r="G2" s="52"/>
      <c r="H2" s="52"/>
    </row>
    <row r="3" spans="1:11" ht="13.5" thickBot="1"/>
    <row r="4" spans="1:11" ht="13.5" thickBot="1">
      <c r="A4" s="31" t="s">
        <v>0</v>
      </c>
      <c r="B4" s="32" t="s">
        <v>36</v>
      </c>
      <c r="C4" s="33" t="s">
        <v>39</v>
      </c>
    </row>
    <row r="5" spans="1:11">
      <c r="A5" s="28" t="s">
        <v>1</v>
      </c>
      <c r="B5" s="29" t="s">
        <v>9</v>
      </c>
      <c r="C5" s="30">
        <v>7</v>
      </c>
      <c r="D5" s="1"/>
      <c r="E5" s="1"/>
      <c r="F5" s="1"/>
      <c r="G5" s="1"/>
      <c r="H5" s="1"/>
      <c r="I5" s="1"/>
      <c r="J5" s="1"/>
      <c r="K5" s="1"/>
    </row>
    <row r="6" spans="1:11">
      <c r="A6" s="23" t="s">
        <v>2</v>
      </c>
      <c r="B6" s="4" t="s">
        <v>9</v>
      </c>
      <c r="C6" s="24">
        <v>2</v>
      </c>
      <c r="D6" s="1"/>
      <c r="E6" s="1"/>
      <c r="F6" s="1"/>
      <c r="G6" s="1"/>
      <c r="H6" s="1"/>
      <c r="I6" s="1"/>
      <c r="J6" s="1"/>
      <c r="K6" s="1"/>
    </row>
    <row r="7" spans="1:11">
      <c r="A7" s="23" t="s">
        <v>3</v>
      </c>
      <c r="B7" s="4" t="s">
        <v>9</v>
      </c>
      <c r="C7" s="24">
        <v>6</v>
      </c>
      <c r="D7" s="1"/>
      <c r="E7" s="1"/>
      <c r="F7" s="1"/>
      <c r="G7" s="1"/>
      <c r="H7" s="1"/>
      <c r="I7" s="1"/>
      <c r="J7" s="1"/>
      <c r="K7" s="1"/>
    </row>
    <row r="8" spans="1:11">
      <c r="A8" s="23" t="s">
        <v>4</v>
      </c>
      <c r="B8" s="4" t="s">
        <v>11</v>
      </c>
      <c r="C8" s="24">
        <v>3</v>
      </c>
      <c r="D8" s="1"/>
      <c r="E8" s="1"/>
      <c r="F8" s="1"/>
      <c r="G8" s="1"/>
      <c r="H8" s="1"/>
      <c r="I8" s="1"/>
      <c r="J8" s="1"/>
      <c r="K8" s="1"/>
    </row>
    <row r="9" spans="1:11">
      <c r="A9" s="23" t="s">
        <v>5</v>
      </c>
      <c r="B9" s="4" t="s">
        <v>10</v>
      </c>
      <c r="C9" s="24">
        <v>12</v>
      </c>
      <c r="D9" s="1"/>
      <c r="E9" s="1"/>
      <c r="F9" s="1"/>
      <c r="G9" s="1"/>
      <c r="H9" s="1"/>
      <c r="I9" s="1"/>
      <c r="J9" s="1"/>
      <c r="K9" s="1"/>
    </row>
    <row r="10" spans="1:11">
      <c r="A10" s="23" t="s">
        <v>6</v>
      </c>
      <c r="B10" s="4" t="s">
        <v>10</v>
      </c>
      <c r="C10" s="24">
        <v>6</v>
      </c>
      <c r="D10" s="1"/>
      <c r="E10" s="1"/>
      <c r="F10" s="1"/>
      <c r="G10" s="1"/>
      <c r="H10" s="1"/>
      <c r="I10" s="1"/>
      <c r="J10" s="1"/>
      <c r="K10" s="1"/>
    </row>
    <row r="11" spans="1:11">
      <c r="A11" s="23" t="s">
        <v>7</v>
      </c>
      <c r="B11" s="4" t="s">
        <v>12</v>
      </c>
      <c r="C11" s="24">
        <v>1</v>
      </c>
      <c r="D11" s="1"/>
      <c r="E11" s="1"/>
      <c r="F11" s="1"/>
      <c r="G11" s="1"/>
      <c r="H11" s="1"/>
      <c r="I11" s="1"/>
      <c r="J11" s="1"/>
      <c r="K11" s="1"/>
    </row>
    <row r="12" spans="1:11">
      <c r="A12" s="23" t="s">
        <v>8</v>
      </c>
      <c r="B12" s="4" t="s">
        <v>12</v>
      </c>
      <c r="C12" s="24">
        <v>2</v>
      </c>
      <c r="D12" s="1"/>
      <c r="E12" s="1"/>
      <c r="F12" s="1"/>
      <c r="G12" s="1"/>
      <c r="H12" s="1"/>
      <c r="I12" s="1"/>
      <c r="J12" s="1"/>
      <c r="K12" s="1"/>
    </row>
    <row r="13" spans="1:11">
      <c r="A13" s="23" t="s">
        <v>49</v>
      </c>
      <c r="B13" s="4" t="s">
        <v>13</v>
      </c>
      <c r="C13" s="24">
        <v>4</v>
      </c>
      <c r="D13" s="1"/>
      <c r="E13" s="1"/>
      <c r="F13" s="1"/>
      <c r="G13" s="1"/>
      <c r="H13" s="1"/>
      <c r="I13" s="1"/>
      <c r="J13" s="1"/>
      <c r="K13" s="1"/>
    </row>
    <row r="14" spans="1:11">
      <c r="A14" s="23" t="s">
        <v>14</v>
      </c>
      <c r="B14" s="4" t="s">
        <v>10</v>
      </c>
      <c r="C14" s="24">
        <v>1</v>
      </c>
      <c r="D14" s="1"/>
      <c r="E14" s="1"/>
      <c r="F14" s="1"/>
      <c r="G14" s="1"/>
      <c r="H14" s="1"/>
      <c r="I14" s="1"/>
      <c r="J14" s="1"/>
      <c r="K14" s="1"/>
    </row>
    <row r="15" spans="1:11">
      <c r="A15" s="23" t="s">
        <v>15</v>
      </c>
      <c r="B15" s="4" t="s">
        <v>9</v>
      </c>
      <c r="C15" s="24">
        <v>2</v>
      </c>
      <c r="D15" s="1"/>
      <c r="E15" s="1"/>
      <c r="F15" s="1"/>
      <c r="G15" s="1"/>
      <c r="H15" s="1"/>
      <c r="I15" s="1"/>
      <c r="J15" s="1"/>
      <c r="K15" s="1"/>
    </row>
    <row r="16" spans="1:11">
      <c r="A16" s="23" t="s">
        <v>16</v>
      </c>
      <c r="B16" s="4" t="s">
        <v>11</v>
      </c>
      <c r="C16" s="24">
        <v>1</v>
      </c>
      <c r="D16" s="1"/>
      <c r="E16" s="1"/>
      <c r="F16" s="1"/>
      <c r="G16" s="1"/>
      <c r="H16" s="1"/>
      <c r="I16" s="1"/>
      <c r="J16" s="1"/>
      <c r="K16" s="1"/>
    </row>
    <row r="17" spans="1:11">
      <c r="A17" s="23" t="s">
        <v>17</v>
      </c>
      <c r="B17" s="4" t="s">
        <v>11</v>
      </c>
      <c r="C17" s="24">
        <v>1</v>
      </c>
      <c r="D17" s="1"/>
      <c r="E17" s="1"/>
      <c r="F17" s="1"/>
      <c r="G17" s="1"/>
      <c r="H17" s="1"/>
      <c r="I17" s="1"/>
      <c r="J17" s="1"/>
      <c r="K17" s="1"/>
    </row>
    <row r="18" spans="1:11">
      <c r="A18" s="23" t="s">
        <v>40</v>
      </c>
      <c r="B18" s="4" t="s">
        <v>13</v>
      </c>
      <c r="C18" s="24">
        <v>1</v>
      </c>
      <c r="D18" s="1"/>
      <c r="E18" s="1"/>
      <c r="F18" s="1"/>
      <c r="G18" s="1"/>
      <c r="H18" s="1"/>
      <c r="I18" s="1"/>
      <c r="J18" s="1"/>
      <c r="K18" s="1"/>
    </row>
    <row r="19" spans="1:11">
      <c r="A19" s="23" t="s">
        <v>41</v>
      </c>
      <c r="B19" s="4" t="s">
        <v>12</v>
      </c>
      <c r="C19" s="24">
        <v>1</v>
      </c>
      <c r="D19" s="1"/>
      <c r="E19" s="1"/>
      <c r="F19" s="1"/>
      <c r="G19" s="1"/>
      <c r="H19" s="1"/>
      <c r="I19" s="1"/>
      <c r="J19" s="1"/>
      <c r="K19" s="1"/>
    </row>
    <row r="20" spans="1:11">
      <c r="A20" s="23" t="s">
        <v>42</v>
      </c>
      <c r="B20" s="4" t="s">
        <v>11</v>
      </c>
      <c r="C20" s="24">
        <v>2</v>
      </c>
      <c r="D20" s="1"/>
      <c r="E20" s="1"/>
      <c r="F20" s="1"/>
      <c r="G20" s="1"/>
      <c r="H20" s="1"/>
      <c r="I20" s="1"/>
      <c r="J20" s="1"/>
      <c r="K20" s="1"/>
    </row>
    <row r="21" spans="1:11" ht="13.5" thickBot="1">
      <c r="A21" s="25" t="s">
        <v>43</v>
      </c>
      <c r="B21" s="26" t="s">
        <v>11</v>
      </c>
      <c r="C21" s="27">
        <v>3</v>
      </c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13.5" thickBot="1">
      <c r="A23" s="22" t="s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13.5" thickBot="1">
      <c r="A24" s="3"/>
      <c r="B24" s="13" t="s">
        <v>9</v>
      </c>
      <c r="C24" s="14" t="s">
        <v>10</v>
      </c>
      <c r="D24" s="14" t="s">
        <v>11</v>
      </c>
      <c r="E24" s="14" t="s">
        <v>12</v>
      </c>
      <c r="F24" s="14" t="s">
        <v>13</v>
      </c>
      <c r="G24" s="14" t="s">
        <v>19</v>
      </c>
      <c r="H24" s="14" t="s">
        <v>20</v>
      </c>
      <c r="I24" s="14" t="s">
        <v>21</v>
      </c>
      <c r="J24" s="14" t="s">
        <v>22</v>
      </c>
      <c r="K24" s="15" t="s">
        <v>23</v>
      </c>
    </row>
    <row r="25" spans="1:11">
      <c r="A25" s="19" t="s">
        <v>22</v>
      </c>
      <c r="B25" s="16">
        <v>1121.3599999999999</v>
      </c>
      <c r="C25" s="7">
        <f>SUM(1128.74*6.3%+1128.74)</f>
        <v>1199.8506199999999</v>
      </c>
      <c r="D25" s="7">
        <f>SUM(1207.76*6.3%+1207.76)</f>
        <v>1283.84888</v>
      </c>
      <c r="E25" s="7">
        <f>SUM(1292.29*6.3%+1292.29)</f>
        <v>1373.70427</v>
      </c>
      <c r="F25" s="7">
        <f>SUM(1382.76*6.3%+1382.76)</f>
        <v>1469.8738800000001</v>
      </c>
      <c r="G25" s="7">
        <v>1572.76</v>
      </c>
      <c r="H25" s="7">
        <v>1682.86</v>
      </c>
      <c r="I25" s="7">
        <f>SUM(1693.94*6.3%+1693.94)</f>
        <v>1800.65822</v>
      </c>
      <c r="J25" s="7">
        <f>SUM(1812.52*6.3%+1812.52)</f>
        <v>1926.70876</v>
      </c>
      <c r="K25" s="12">
        <f>SUM(1939.39*6.3%+1939.39)</f>
        <v>2061.5715700000001</v>
      </c>
    </row>
    <row r="26" spans="1:11">
      <c r="A26" s="20" t="s">
        <v>24</v>
      </c>
      <c r="B26" s="17">
        <v>1289.57</v>
      </c>
      <c r="C26" s="7">
        <f>SUM(1298.05*6.3%+1298.05)</f>
        <v>1379.8271499999998</v>
      </c>
      <c r="D26" s="6">
        <f>SUM(1388.92*6.3%+1388.92)</f>
        <v>1476.4219600000001</v>
      </c>
      <c r="E26" s="6">
        <f>SUM(1486.14*6.3%+1486.14)</f>
        <v>1579.7668200000001</v>
      </c>
      <c r="F26" s="6">
        <f>SUM(1590.18*6.3%+1590.18)</f>
        <v>1690.3613400000002</v>
      </c>
      <c r="G26" s="6">
        <v>1808.67</v>
      </c>
      <c r="H26" s="6">
        <v>1935.29</v>
      </c>
      <c r="I26" s="6">
        <f>SUM(1948.03*6.3%+1948.03)</f>
        <v>2070.7558899999999</v>
      </c>
      <c r="J26" s="6">
        <f>SUM(2084.39*6.3%+2084.39)</f>
        <v>2215.7065699999998</v>
      </c>
      <c r="K26" s="9">
        <f>SUM(2230.3*6.3%+2230.3)</f>
        <v>2370.8089</v>
      </c>
    </row>
    <row r="27" spans="1:11" ht="13.5" thickBot="1">
      <c r="A27" s="21" t="s">
        <v>25</v>
      </c>
      <c r="B27" s="18">
        <v>1485.79</v>
      </c>
      <c r="C27" s="7">
        <f>SUM(1492.77*6.3%+1492.77)</f>
        <v>1586.8145099999999</v>
      </c>
      <c r="D27" s="10">
        <f>SUM(1597.26*6.3%+1597.26)</f>
        <v>1697.8873799999999</v>
      </c>
      <c r="E27" s="10">
        <f>SUM(1709.06*6.3%+1709.06)</f>
        <v>1816.7307799999999</v>
      </c>
      <c r="F27" s="10">
        <f>SUM(1828.7*6.3%+1828.7)</f>
        <v>1943.9081000000001</v>
      </c>
      <c r="G27" s="10">
        <v>2079.9699999999998</v>
      </c>
      <c r="H27" s="10">
        <v>2225.58</v>
      </c>
      <c r="I27" s="10">
        <f>SUM(2240.24*6.3%+2240.24)</f>
        <v>2381.3751199999997</v>
      </c>
      <c r="J27" s="10">
        <f>SUM(2397.05*6.3%+2397.05)</f>
        <v>2548.0641500000002</v>
      </c>
      <c r="K27" s="11">
        <f>SUM(2564.84*6.3%+2564.84)</f>
        <v>2726.4249200000004</v>
      </c>
    </row>
    <row r="28" spans="1:11">
      <c r="A28" s="2"/>
      <c r="B28" s="1"/>
      <c r="C28" s="1"/>
      <c r="D28" s="1"/>
      <c r="E28" s="1"/>
      <c r="F28" s="1"/>
      <c r="G28" s="44"/>
      <c r="H28" s="1"/>
      <c r="I28" s="1"/>
      <c r="J28" s="1"/>
      <c r="K28" s="1"/>
    </row>
    <row r="29" spans="1:11">
      <c r="A29" s="2"/>
      <c r="B29" s="1"/>
      <c r="C29" s="1"/>
      <c r="D29" s="1"/>
      <c r="E29" s="1"/>
      <c r="F29" s="1"/>
      <c r="G29" s="44"/>
      <c r="H29" s="1"/>
      <c r="I29" s="1"/>
      <c r="J29" s="1"/>
      <c r="K29" s="1"/>
    </row>
    <row r="30" spans="1:11" ht="13.5" thickBot="1">
      <c r="A30" s="22" t="s">
        <v>26</v>
      </c>
      <c r="B30" s="1"/>
      <c r="C30" s="1"/>
      <c r="D30" s="1"/>
      <c r="E30" s="1"/>
      <c r="F30" s="1"/>
      <c r="G30" s="44"/>
      <c r="H30" s="1"/>
      <c r="I30" s="1"/>
      <c r="J30" s="1"/>
      <c r="K30" s="1"/>
    </row>
    <row r="31" spans="1:11" ht="13.5" thickBot="1">
      <c r="A31" s="3"/>
      <c r="B31" s="13" t="s">
        <v>9</v>
      </c>
      <c r="C31" s="14" t="s">
        <v>10</v>
      </c>
      <c r="D31" s="14" t="s">
        <v>11</v>
      </c>
      <c r="E31" s="14" t="s">
        <v>12</v>
      </c>
      <c r="F31" s="14" t="s">
        <v>13</v>
      </c>
      <c r="G31" s="14" t="s">
        <v>19</v>
      </c>
      <c r="H31" s="14" t="s">
        <v>20</v>
      </c>
      <c r="I31" s="14" t="s">
        <v>21</v>
      </c>
      <c r="J31" s="14" t="s">
        <v>22</v>
      </c>
      <c r="K31" s="15" t="s">
        <v>23</v>
      </c>
    </row>
    <row r="32" spans="1:11">
      <c r="A32" s="19" t="s">
        <v>22</v>
      </c>
      <c r="B32" s="16">
        <f>SUM(1476.86*6.3%+1476.86)</f>
        <v>1569.9021799999998</v>
      </c>
      <c r="C32" s="7">
        <f>SUM(1580.24*6.3%+1580.24)</f>
        <v>1679.79512</v>
      </c>
      <c r="D32" s="7">
        <f>SUM(1690.86*6.3%+1690.86)</f>
        <v>1797.38418</v>
      </c>
      <c r="E32" s="7">
        <f>SUM(1809.22*6.3%+1809.22)</f>
        <v>1923.2008599999999</v>
      </c>
      <c r="F32" s="7">
        <f>SUM(1935.86*6.3%+1935.86)</f>
        <v>2057.81918</v>
      </c>
      <c r="G32" s="7">
        <f>SUM(2071.37*6.3%+2071.37)</f>
        <v>2201.8663099999999</v>
      </c>
      <c r="H32" s="7">
        <f>SUM(2216.37*6.3%+2216.37)</f>
        <v>2356.0013099999996</v>
      </c>
      <c r="I32" s="7">
        <f>SUM(2371.51*6.3%+2371.51)</f>
        <v>2520.9151300000003</v>
      </c>
      <c r="J32" s="7">
        <f>SUM(2537.52*6.3%+2537.52)</f>
        <v>2697.3837600000002</v>
      </c>
      <c r="K32" s="12">
        <f>SUM(2715.14*6.3%+2715.14)</f>
        <v>2886.19382</v>
      </c>
    </row>
    <row r="33" spans="1:11">
      <c r="A33" s="20" t="s">
        <v>24</v>
      </c>
      <c r="B33" s="17">
        <f>SUM(1698.39*6.3%+1698.39)</f>
        <v>1805.3885700000001</v>
      </c>
      <c r="C33" s="6">
        <f>SUM(1817.28*6.3%+1817.28)</f>
        <v>1931.76864</v>
      </c>
      <c r="D33" s="7">
        <f>SUM(1944.49*6.3%+1944.49)</f>
        <v>2066.99287</v>
      </c>
      <c r="E33" s="6">
        <f>SUM(2080.6*6.3%+2080.6)</f>
        <v>2211.6777999999999</v>
      </c>
      <c r="F33" s="6">
        <f>SUM(2226.24*6.3%+2226.24)</f>
        <v>2366.4931199999996</v>
      </c>
      <c r="G33" s="6">
        <f>SUM(2382.08*6.3%+2382.08)</f>
        <v>2532.1510399999997</v>
      </c>
      <c r="H33" s="6">
        <f>SUM(2548.83*6.3%+2548.83)</f>
        <v>2709.4062899999999</v>
      </c>
      <c r="I33" s="6">
        <f>SUM(2727.24*6.3%+2727.24)</f>
        <v>2899.0561199999997</v>
      </c>
      <c r="J33" s="6">
        <f>SUM(2918.15*6.3%+2918.15)</f>
        <v>3101.9934499999999</v>
      </c>
      <c r="K33" s="9">
        <f>SUM(3122.42*6.3%+3122.42)</f>
        <v>3319.1324600000003</v>
      </c>
    </row>
    <row r="34" spans="1:11" ht="13.5" thickBot="1">
      <c r="A34" s="21" t="s">
        <v>25</v>
      </c>
      <c r="B34" s="18">
        <f>SUM(1953.15*6.3%+1953.15)</f>
        <v>2076.1984499999999</v>
      </c>
      <c r="C34" s="10">
        <f>SUM(2089.87*6.3%+2089.87)</f>
        <v>2221.53181</v>
      </c>
      <c r="D34" s="7">
        <f>SUM(2236.16*6.3%+2236.16)</f>
        <v>2377.0380799999998</v>
      </c>
      <c r="E34" s="10">
        <f>SUM(2392.69*6.3%+2392.69)</f>
        <v>2543.42947</v>
      </c>
      <c r="F34" s="10">
        <f>SUM(2560.18*6.3%+2560.18)</f>
        <v>2721.4713400000001</v>
      </c>
      <c r="G34" s="10">
        <f>SUM(2739.39*6.3%+2739.39)</f>
        <v>2911.9715699999997</v>
      </c>
      <c r="H34" s="10">
        <f>SUM(2931.15*6.3%+2931.15)</f>
        <v>3115.8124499999999</v>
      </c>
      <c r="I34" s="10">
        <f>SUM(3136.32*6.3%+3136.32)</f>
        <v>3333.90816</v>
      </c>
      <c r="J34" s="10">
        <f>SUM(3355.87*6.3%+3355.87)</f>
        <v>3567.2898099999998</v>
      </c>
      <c r="K34" s="11">
        <f>SUM(3590.78*6.3%+3590.78)</f>
        <v>3816.9991400000004</v>
      </c>
    </row>
    <row r="35" spans="1:11">
      <c r="A35" s="2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2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3.5" thickBot="1">
      <c r="A37" s="22" t="s">
        <v>27</v>
      </c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3.5" thickBot="1">
      <c r="A38" s="3"/>
      <c r="B38" s="13" t="s">
        <v>9</v>
      </c>
      <c r="C38" s="14" t="s">
        <v>10</v>
      </c>
      <c r="D38" s="14" t="s">
        <v>11</v>
      </c>
      <c r="E38" s="14" t="s">
        <v>12</v>
      </c>
      <c r="F38" s="14" t="s">
        <v>13</v>
      </c>
      <c r="G38" s="14" t="s">
        <v>19</v>
      </c>
      <c r="H38" s="14" t="s">
        <v>20</v>
      </c>
      <c r="I38" s="14" t="s">
        <v>21</v>
      </c>
      <c r="J38" s="14" t="s">
        <v>22</v>
      </c>
      <c r="K38" s="15" t="s">
        <v>23</v>
      </c>
    </row>
    <row r="39" spans="1:11">
      <c r="A39" s="19" t="s">
        <v>22</v>
      </c>
      <c r="B39" s="16">
        <f>SUM(2320.78*6.3%+2320.78)</f>
        <v>2466.9891400000001</v>
      </c>
      <c r="C39" s="7">
        <f>SUM(2483.23*6.3%+2483.23)</f>
        <v>2639.6734900000001</v>
      </c>
      <c r="D39" s="7">
        <f>SUM(2657.06*6.3%+2657.06)</f>
        <v>2824.45478</v>
      </c>
      <c r="E39" s="7">
        <f>SUM(2843.05*6.3%+2843.05)</f>
        <v>3022.1621500000001</v>
      </c>
      <c r="F39" s="7">
        <f>SUM(3042.07*6.3%+3042.07)</f>
        <v>3233.7204100000004</v>
      </c>
      <c r="G39" s="7">
        <f>SUM(3255.01*6.3%+3255.01)</f>
        <v>3460.0756300000003</v>
      </c>
      <c r="H39" s="7">
        <f>SUM(3482.87*6.3%+3482.87)</f>
        <v>3702.29081</v>
      </c>
      <c r="I39" s="7">
        <f>SUM(3726.67*6.3%+3726.67)</f>
        <v>3961.45021</v>
      </c>
      <c r="J39" s="7">
        <f>SUM(3987.53*6.3%+3987.53)</f>
        <v>4238.7443899999998</v>
      </c>
      <c r="K39" s="12">
        <f>SUM(4266.66*6.3%+4266.66)</f>
        <v>4535.4595799999997</v>
      </c>
    </row>
    <row r="40" spans="1:11">
      <c r="A40" s="20" t="s">
        <v>24</v>
      </c>
      <c r="B40" s="17">
        <f>SUM(2668.9*6.3%+2668.9)</f>
        <v>2837.0407</v>
      </c>
      <c r="C40" s="6">
        <f>SUM(2855.72*6.3%+2855.72)</f>
        <v>3035.6303599999997</v>
      </c>
      <c r="D40" s="6">
        <f>SUM(3055.62*6.3%+3055.62)</f>
        <v>3248.1240600000001</v>
      </c>
      <c r="E40" s="6">
        <f>SUM(3269.51*6.3%+3269.51)</f>
        <v>3475.4891300000004</v>
      </c>
      <c r="F40" s="6">
        <f>SUM(3498.38*6.3%+3498.48)</f>
        <v>3718.8779399999999</v>
      </c>
      <c r="G40" s="6">
        <f>SUM(3743.27*6.3%+3743.27)</f>
        <v>3979.0960100000002</v>
      </c>
      <c r="H40" s="6">
        <f>SUM(4005.3*6.3%+4005.3)</f>
        <v>4257.6338999999998</v>
      </c>
      <c r="I40" s="6">
        <f>SUM(4285.67*6.3%+4285.67)</f>
        <v>4555.6672099999996</v>
      </c>
      <c r="J40" s="6">
        <f>SUM(4585.66*6.3%+4585.66)</f>
        <v>4874.5565799999995</v>
      </c>
      <c r="K40" s="9">
        <f>SUM(4906.66*6.3%+4906.66)</f>
        <v>5215.7795799999994</v>
      </c>
    </row>
    <row r="41" spans="1:11" ht="13.5" thickBot="1">
      <c r="A41" s="21" t="s">
        <v>25</v>
      </c>
      <c r="B41" s="18">
        <f>SUM(3069.23*6.3%+3069.23)</f>
        <v>3262.5914899999998</v>
      </c>
      <c r="C41" s="10">
        <f>SUM(3284.08*6.3%+3284.08)</f>
        <v>3490.9770399999998</v>
      </c>
      <c r="D41" s="10">
        <f>SUM(3513.97*6.3%+3513.97)</f>
        <v>3735.3501099999999</v>
      </c>
      <c r="E41" s="10">
        <f>SUM(3759.94*6.3%+3759.94)</f>
        <v>3996.8162200000002</v>
      </c>
      <c r="F41" s="10">
        <f>SUM(4023.14*6.3%+4023.14)</f>
        <v>4276.59782</v>
      </c>
      <c r="G41" s="10">
        <f>SUM(4304.75*6.3%+4304.75)</f>
        <v>4575.9492499999997</v>
      </c>
      <c r="H41" s="10">
        <f>SUM(4606.08*6.3%+4606.08)</f>
        <v>4896.2630399999998</v>
      </c>
      <c r="I41" s="10">
        <f>SUM(4928.51*6.3%+4928.51)</f>
        <v>5239.0061299999998</v>
      </c>
      <c r="J41" s="10">
        <f>SUM(5273.51*6.3%+5273.51)</f>
        <v>5605.7411300000003</v>
      </c>
      <c r="K41" s="11">
        <f>SUM(5642.66*6.3%+5642.66)</f>
        <v>5998.1475799999998</v>
      </c>
    </row>
    <row r="42" spans="1:11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2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3.5" thickBot="1">
      <c r="A44" s="22" t="s">
        <v>28</v>
      </c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3.5" thickBot="1">
      <c r="A45" s="3"/>
      <c r="B45" s="13" t="s">
        <v>9</v>
      </c>
      <c r="C45" s="14" t="s">
        <v>10</v>
      </c>
      <c r="D45" s="14" t="s">
        <v>11</v>
      </c>
      <c r="E45" s="14" t="s">
        <v>12</v>
      </c>
      <c r="F45" s="14" t="s">
        <v>13</v>
      </c>
      <c r="G45" s="14" t="s">
        <v>19</v>
      </c>
      <c r="H45" s="14" t="s">
        <v>20</v>
      </c>
      <c r="I45" s="14" t="s">
        <v>21</v>
      </c>
      <c r="J45" s="14" t="s">
        <v>22</v>
      </c>
      <c r="K45" s="15" t="s">
        <v>23</v>
      </c>
    </row>
    <row r="46" spans="1:11">
      <c r="A46" s="19" t="s">
        <v>22</v>
      </c>
      <c r="B46" s="16">
        <f>SUM(3375.68*6.3%+3375.68)</f>
        <v>3588.3478399999999</v>
      </c>
      <c r="C46" s="7">
        <f>SUM(3611.98*6.3%+3611.98)</f>
        <v>3839.5347400000001</v>
      </c>
      <c r="D46" s="7">
        <f>SUM(3864.82*6.3%+3864.82)</f>
        <v>4108.3036600000005</v>
      </c>
      <c r="E46" s="7">
        <f>SUM(4135.36*6.3%+4135.36)</f>
        <v>4395.8876799999998</v>
      </c>
      <c r="F46" s="7">
        <f>SUM(4424.83*6.3%+4424.83)</f>
        <v>4703.59429</v>
      </c>
      <c r="G46" s="7">
        <f>SUM(4734.57*6.3%+4734.57)</f>
        <v>5032.8479099999995</v>
      </c>
      <c r="H46" s="7">
        <f>SUM(5065.99*6.3%+5065.99)</f>
        <v>5385.1473699999997</v>
      </c>
      <c r="I46" s="7">
        <f>SUM(5420.6*6.3%+5420.6)</f>
        <v>5762.0978000000005</v>
      </c>
      <c r="J46" s="7">
        <f>SUM(5800.05*6.3%+5800.05)</f>
        <v>6165.4531500000003</v>
      </c>
      <c r="K46" s="12">
        <f>SUM(6206.05*6.3%+6206.05)</f>
        <v>6597.0311499999998</v>
      </c>
    </row>
    <row r="47" spans="1:11">
      <c r="A47" s="20" t="s">
        <v>24</v>
      </c>
      <c r="B47" s="17">
        <f>SUM(3882.03*6.3%+3882.03)</f>
        <v>4126.59789</v>
      </c>
      <c r="C47" s="6">
        <f>SUM(4153.77*6.3%+4153.77)</f>
        <v>4415.4575100000002</v>
      </c>
      <c r="D47" s="6">
        <f>SUM(4444.54*6.3%+4444.54)</f>
        <v>4724.5460199999998</v>
      </c>
      <c r="E47" s="6">
        <f>SUM(4755.66*6.3%+4755.66)</f>
        <v>5055.2665799999995</v>
      </c>
      <c r="F47" s="6">
        <f>SUM(5088.55*6.3%+5088.55)</f>
        <v>5409.1286500000006</v>
      </c>
      <c r="G47" s="6">
        <f>SUM(5444.75*6.3%+5444.75)</f>
        <v>5787.7692500000003</v>
      </c>
      <c r="H47" s="6">
        <f>SUM(5825.89*6.3%+5825.89)</f>
        <v>6192.9210700000003</v>
      </c>
      <c r="I47" s="6">
        <f>SUM(6233.7*6.3%+6233.7)</f>
        <v>6626.4231</v>
      </c>
      <c r="J47" s="6">
        <f>SUM(6670.06*6.3%+6670.06)</f>
        <v>7090.2737800000004</v>
      </c>
      <c r="K47" s="9">
        <f>SUM(7136.96*6.3%+7136.96)</f>
        <v>7586.5884800000003</v>
      </c>
    </row>
    <row r="48" spans="1:11" ht="13.5" thickBot="1">
      <c r="A48" s="21" t="s">
        <v>25</v>
      </c>
      <c r="B48" s="18">
        <f>SUM(4464.34*6.3%+4464.34)</f>
        <v>4745.5934200000002</v>
      </c>
      <c r="C48" s="10">
        <f>SUM(4776.84*6.3%+4776.84)</f>
        <v>5077.7809200000002</v>
      </c>
      <c r="D48" s="10">
        <f>SUM(5111.22*6.3%+5111.22)</f>
        <v>5433.2268600000007</v>
      </c>
      <c r="E48" s="10">
        <f>SUM(5469*6.3%+5469)</f>
        <v>5813.5470000000005</v>
      </c>
      <c r="F48" s="10">
        <f>SUM(5851.84*6.3%+5851.84)</f>
        <v>6220.5059200000005</v>
      </c>
      <c r="G48" s="10">
        <f>SUM(6261.46*6.3%+6261.46)</f>
        <v>6655.9319800000003</v>
      </c>
      <c r="H48" s="10">
        <f>SUM(6699.76*6.3%+6699.76)</f>
        <v>7121.8448800000006</v>
      </c>
      <c r="I48" s="10">
        <f>SUM(7168.75*6.3%+7168.75)</f>
        <v>7620.3812500000004</v>
      </c>
      <c r="J48" s="10">
        <f>SUM(7670.56*6.3%+7670.56)</f>
        <v>8153.8052800000005</v>
      </c>
      <c r="K48" s="11">
        <f>SUM(8207.5*6.3%+8207.5)</f>
        <v>8724.5725000000002</v>
      </c>
    </row>
    <row r="49" spans="1:11">
      <c r="A49" s="2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2"/>
      <c r="B50" s="1"/>
      <c r="C50" s="1"/>
      <c r="D50" s="1"/>
      <c r="E50" s="2"/>
      <c r="F50" s="1"/>
      <c r="G50" s="1"/>
      <c r="H50" s="1"/>
      <c r="I50" s="1"/>
      <c r="J50" s="1"/>
      <c r="K50" s="1"/>
    </row>
    <row r="51" spans="1:11" ht="13.5" thickBot="1">
      <c r="A51" s="22" t="s">
        <v>29</v>
      </c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3.5" thickBot="1">
      <c r="A52" s="3"/>
      <c r="B52" s="13" t="s">
        <v>9</v>
      </c>
      <c r="C52" s="14" t="s">
        <v>10</v>
      </c>
      <c r="D52" s="14" t="s">
        <v>11</v>
      </c>
      <c r="E52" s="14" t="s">
        <v>12</v>
      </c>
      <c r="F52" s="14" t="s">
        <v>13</v>
      </c>
      <c r="G52" s="14" t="s">
        <v>19</v>
      </c>
      <c r="H52" s="14" t="s">
        <v>20</v>
      </c>
      <c r="I52" s="14" t="s">
        <v>21</v>
      </c>
      <c r="J52" s="14" t="s">
        <v>22</v>
      </c>
      <c r="K52" s="15" t="s">
        <v>23</v>
      </c>
    </row>
    <row r="53" spans="1:11">
      <c r="A53" s="19" t="s">
        <v>22</v>
      </c>
      <c r="B53" s="16">
        <f>SUM(6856.85*6.3%+6856.85)</f>
        <v>7288.8315500000008</v>
      </c>
      <c r="C53" s="7">
        <f>SUM(7336.83*6.3%+7336.83)</f>
        <v>7799.0502900000001</v>
      </c>
      <c r="D53" s="7">
        <f>SUM(7850.41*6.3%+7850.41)</f>
        <v>8344.9858299999996</v>
      </c>
      <c r="E53" s="7">
        <f>SUM(8399.94*6.3%+8399.94)</f>
        <v>8929.1362200000003</v>
      </c>
      <c r="F53" s="7">
        <f>SUM(8987.93*6.3%+8987.93)</f>
        <v>9554.1695899999995</v>
      </c>
      <c r="G53" s="7">
        <f>SUM(9617.09*6.3%+9617.09)</f>
        <v>10222.96667</v>
      </c>
      <c r="H53" s="7">
        <f>SUM(10290.29*6.3%+10290.29)</f>
        <v>10938.578270000002</v>
      </c>
      <c r="I53" s="7">
        <f>SUM(11010.6*6.3%+11010.6)</f>
        <v>11704.2678</v>
      </c>
      <c r="J53" s="7">
        <f>SUM(11781.34*6.3%+11781.34)</f>
        <v>12523.564420000001</v>
      </c>
      <c r="K53" s="12">
        <f>SUM(12606.03*6.3%+12606.03)</f>
        <v>13400.20989</v>
      </c>
    </row>
    <row r="54" spans="1:11">
      <c r="A54" s="20" t="s">
        <v>24</v>
      </c>
      <c r="B54" s="17">
        <f>SUM(7885.38*6.3%+7885.38)</f>
        <v>8382.1589399999993</v>
      </c>
      <c r="C54" s="6">
        <f>SUM(8437.35*6.3%+8437.35)</f>
        <v>8968.9030500000008</v>
      </c>
      <c r="D54" s="6">
        <f>SUM(9027.97*6.3%+9027.97)</f>
        <v>9596.732109999999</v>
      </c>
      <c r="E54" s="6">
        <f>SUM(9659.93*6.3%+9659.93)</f>
        <v>10268.505590000001</v>
      </c>
      <c r="F54" s="6">
        <f>SUM(10336.12*6.3%+10336.12)</f>
        <v>10987.29556</v>
      </c>
      <c r="G54" s="6">
        <f>SUM(11059.65*6.3%+11059.65)</f>
        <v>11756.407949999999</v>
      </c>
      <c r="H54" s="6">
        <f>SUM(11833.83*6.3%+11833.83)</f>
        <v>12579.361290000001</v>
      </c>
      <c r="I54" s="6">
        <f>SUM(12662.2*6.3%+12662.2)</f>
        <v>13459.918600000001</v>
      </c>
      <c r="J54" s="6">
        <f>SUM(13548.54*6.3%+13548.54)</f>
        <v>14402.098020000001</v>
      </c>
      <c r="K54" s="9">
        <f>SUM(14496.94*6.3%+14496.94)</f>
        <v>15410.247220000001</v>
      </c>
    </row>
    <row r="55" spans="1:11" ht="13.5" thickBot="1">
      <c r="A55" s="21" t="s">
        <v>25</v>
      </c>
      <c r="B55" s="18">
        <f>SUM(9068.18*6.3%+9068.18)</f>
        <v>9639.4753400000009</v>
      </c>
      <c r="C55" s="10">
        <f>SUM(9702.96*6.3%+9702.96)</f>
        <v>10314.24648</v>
      </c>
      <c r="D55" s="10">
        <f>SUM(10382.17*6.3%+10382.17)</f>
        <v>11036.246709999999</v>
      </c>
      <c r="E55" s="10">
        <f>SUM(11108.92*6.3%+11108.92)</f>
        <v>11808.78196</v>
      </c>
      <c r="F55" s="10">
        <f>SUM(11886.54*6.3%+11886.54)</f>
        <v>12635.392020000001</v>
      </c>
      <c r="G55" s="10">
        <f>SUM(12718.6*6.3%+12718.6)</f>
        <v>13519.871800000001</v>
      </c>
      <c r="H55" s="10">
        <f>SUM(13608.9*6.3%+13608.9)</f>
        <v>14466.260699999999</v>
      </c>
      <c r="I55" s="10">
        <f>SUM(14561.52*6.3%+14561.52)</f>
        <v>15478.895760000001</v>
      </c>
      <c r="J55" s="10">
        <f>SUM(15580.83*6.3%+15580.83)</f>
        <v>16562.422289999999</v>
      </c>
      <c r="K55" s="11">
        <f>SUM(16671.49*6.3%+16671.49)</f>
        <v>17721.793870000001</v>
      </c>
    </row>
    <row r="56" spans="1:11">
      <c r="A56" s="3"/>
      <c r="B56" s="8"/>
      <c r="C56" s="8"/>
      <c r="D56" s="8"/>
      <c r="E56" s="8"/>
      <c r="F56" s="8"/>
      <c r="G56" s="8"/>
      <c r="H56" s="8"/>
      <c r="I56" s="8"/>
      <c r="J56" s="8"/>
      <c r="K56" s="8"/>
    </row>
    <row r="57" spans="1:11" ht="13.5" thickBo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3.5" thickBot="1">
      <c r="A58" s="13" t="s">
        <v>30</v>
      </c>
      <c r="B58" s="14" t="s">
        <v>37</v>
      </c>
      <c r="C58" s="39" t="s">
        <v>39</v>
      </c>
      <c r="D58" s="1"/>
      <c r="E58" s="1"/>
      <c r="F58" s="1"/>
      <c r="G58" s="1"/>
      <c r="H58" s="1"/>
      <c r="I58" s="1"/>
      <c r="J58" s="1"/>
      <c r="K58" s="1"/>
    </row>
    <row r="59" spans="1:11">
      <c r="A59" s="37" t="s">
        <v>31</v>
      </c>
      <c r="B59" s="38">
        <v>6728.15</v>
      </c>
      <c r="C59" s="30">
        <v>4</v>
      </c>
      <c r="D59" s="1"/>
      <c r="E59" s="1"/>
      <c r="F59" s="1"/>
      <c r="G59" s="1"/>
      <c r="H59" s="1"/>
      <c r="I59" s="1"/>
      <c r="J59" s="1"/>
      <c r="K59" s="1"/>
    </row>
    <row r="60" spans="1:11">
      <c r="A60" s="34" t="s">
        <v>32</v>
      </c>
      <c r="B60" s="5">
        <v>4800</v>
      </c>
      <c r="C60" s="24">
        <v>9</v>
      </c>
      <c r="D60" s="1"/>
      <c r="E60" s="1"/>
      <c r="F60" s="1"/>
      <c r="G60" s="1"/>
      <c r="H60" s="1"/>
      <c r="I60" s="1"/>
      <c r="J60" s="1"/>
      <c r="K60" s="1"/>
    </row>
    <row r="61" spans="1:11">
      <c r="A61" s="34" t="s">
        <v>45</v>
      </c>
      <c r="B61" s="38">
        <v>6728.15</v>
      </c>
      <c r="C61" s="24">
        <v>4</v>
      </c>
      <c r="D61" s="1"/>
      <c r="E61" s="1"/>
      <c r="F61" s="1"/>
      <c r="G61" s="1"/>
      <c r="H61" s="1"/>
      <c r="I61" s="1"/>
      <c r="J61" s="1"/>
      <c r="K61" s="1"/>
    </row>
    <row r="62" spans="1:11">
      <c r="A62" s="45" t="s">
        <v>50</v>
      </c>
      <c r="B62" s="47">
        <v>3500</v>
      </c>
      <c r="C62" s="46">
        <v>1</v>
      </c>
      <c r="D62" s="1"/>
      <c r="E62" s="1"/>
      <c r="F62" s="1"/>
      <c r="G62" s="1"/>
      <c r="H62" s="1"/>
      <c r="I62" s="1"/>
      <c r="J62" s="1"/>
      <c r="K62" s="1"/>
    </row>
    <row r="63" spans="1:11">
      <c r="A63" s="34" t="s">
        <v>46</v>
      </c>
      <c r="B63" s="5">
        <v>1457.77</v>
      </c>
      <c r="C63" s="24">
        <v>21</v>
      </c>
      <c r="D63" s="1"/>
      <c r="E63" s="1"/>
      <c r="F63" s="1"/>
      <c r="G63" s="1"/>
      <c r="H63" s="1"/>
      <c r="I63" s="1"/>
      <c r="J63" s="1"/>
      <c r="K63" s="1"/>
    </row>
    <row r="64" spans="1:11">
      <c r="A64" s="34" t="s">
        <v>47</v>
      </c>
      <c r="B64" s="5">
        <v>2579.13</v>
      </c>
      <c r="C64" s="24">
        <v>9</v>
      </c>
      <c r="D64" s="1"/>
      <c r="E64" s="1"/>
      <c r="F64" s="1"/>
      <c r="G64" s="1"/>
      <c r="H64" s="1"/>
      <c r="I64" s="1"/>
      <c r="J64" s="1"/>
      <c r="K64" s="1"/>
    </row>
    <row r="65" spans="1:11">
      <c r="A65" s="34" t="s">
        <v>48</v>
      </c>
      <c r="B65" s="5">
        <v>3251.94</v>
      </c>
      <c r="C65" s="24">
        <v>8</v>
      </c>
      <c r="D65" s="1"/>
      <c r="E65" s="1"/>
      <c r="F65" s="1"/>
      <c r="G65" s="1"/>
      <c r="H65" s="1"/>
      <c r="I65" s="1"/>
      <c r="J65" s="1"/>
      <c r="K65" s="1"/>
    </row>
    <row r="66" spans="1:11" ht="13.5" thickBot="1">
      <c r="A66" s="35"/>
      <c r="B66" s="36"/>
      <c r="C66" s="27"/>
      <c r="D66" s="1"/>
      <c r="E66" s="1"/>
      <c r="F66" s="1"/>
      <c r="G66" s="1"/>
      <c r="H66" s="1"/>
      <c r="I66" s="1"/>
      <c r="J66" s="1"/>
      <c r="K66" s="1"/>
    </row>
    <row r="67" spans="1:11" ht="13.5" thickBot="1">
      <c r="A67" s="2"/>
      <c r="B67" s="42"/>
      <c r="C67" s="1"/>
      <c r="D67" s="1"/>
      <c r="E67" s="1"/>
      <c r="F67" s="1"/>
      <c r="G67" s="1"/>
      <c r="H67" s="1"/>
      <c r="I67" s="1"/>
      <c r="J67" s="1"/>
      <c r="K67" s="1"/>
    </row>
    <row r="68" spans="1:11" ht="13.5" thickBot="1">
      <c r="A68" s="13" t="s">
        <v>51</v>
      </c>
      <c r="B68" s="43" t="s">
        <v>44</v>
      </c>
      <c r="C68" s="39" t="s">
        <v>39</v>
      </c>
      <c r="D68" s="1"/>
      <c r="E68" s="1"/>
      <c r="F68" s="1"/>
      <c r="G68" s="1"/>
      <c r="H68" s="1"/>
      <c r="I68" s="1"/>
      <c r="J68" s="1"/>
      <c r="K68" s="1"/>
    </row>
    <row r="69" spans="1:11">
      <c r="A69" s="37" t="s">
        <v>52</v>
      </c>
      <c r="B69" s="51" t="s">
        <v>58</v>
      </c>
      <c r="C69" s="30">
        <v>1</v>
      </c>
      <c r="D69" s="1"/>
      <c r="E69" s="1"/>
      <c r="F69" s="1"/>
      <c r="G69" s="1"/>
      <c r="H69" s="1"/>
      <c r="I69" s="1"/>
      <c r="J69" s="1"/>
      <c r="K69" s="1"/>
    </row>
    <row r="70" spans="1:11">
      <c r="A70" s="34" t="s">
        <v>53</v>
      </c>
      <c r="B70" s="48" t="s">
        <v>59</v>
      </c>
      <c r="C70" s="24">
        <v>5</v>
      </c>
      <c r="D70" s="1"/>
      <c r="E70" s="1"/>
      <c r="F70" s="1"/>
      <c r="G70" s="1"/>
      <c r="H70" s="1"/>
      <c r="I70" s="1"/>
      <c r="J70" s="1"/>
      <c r="K70" s="1"/>
    </row>
    <row r="71" spans="1:11">
      <c r="A71" s="34" t="s">
        <v>54</v>
      </c>
      <c r="B71" s="49">
        <v>500</v>
      </c>
      <c r="C71" s="24">
        <v>1</v>
      </c>
      <c r="D71" s="1"/>
      <c r="E71" s="1"/>
      <c r="F71" s="1"/>
      <c r="G71" s="1"/>
      <c r="H71" s="1"/>
      <c r="I71" s="1"/>
      <c r="J71" s="1"/>
      <c r="K71" s="1"/>
    </row>
    <row r="72" spans="1:11">
      <c r="A72" s="34" t="s">
        <v>55</v>
      </c>
      <c r="B72" s="49">
        <v>500</v>
      </c>
      <c r="C72" s="24">
        <v>2</v>
      </c>
      <c r="D72" s="1"/>
      <c r="E72" s="1"/>
      <c r="F72" s="1"/>
      <c r="G72" s="1"/>
      <c r="H72" s="1"/>
      <c r="I72" s="1"/>
      <c r="J72" s="1"/>
      <c r="K72" s="1"/>
    </row>
    <row r="73" spans="1:11">
      <c r="A73" s="34" t="s">
        <v>56</v>
      </c>
      <c r="B73" s="49">
        <v>200</v>
      </c>
      <c r="C73" s="24">
        <v>4</v>
      </c>
      <c r="D73" s="1"/>
      <c r="E73" s="1"/>
      <c r="F73" s="1"/>
      <c r="G73" s="1"/>
      <c r="H73" s="1"/>
      <c r="I73" s="1"/>
      <c r="J73" s="1"/>
      <c r="K73" s="1"/>
    </row>
    <row r="74" spans="1:11" ht="13.5" thickBot="1">
      <c r="A74" s="35" t="s">
        <v>57</v>
      </c>
      <c r="B74" s="50">
        <v>200</v>
      </c>
      <c r="C74" s="27">
        <v>4</v>
      </c>
      <c r="D74" s="1"/>
      <c r="E74" s="1"/>
      <c r="F74" s="1"/>
      <c r="G74" s="1"/>
      <c r="H74" s="1"/>
      <c r="I74" s="1"/>
      <c r="J74" s="1"/>
      <c r="K74" s="1"/>
    </row>
    <row r="75" spans="1:11">
      <c r="A75" s="2"/>
      <c r="B75" s="42"/>
      <c r="C75" s="1"/>
      <c r="D75" s="1"/>
      <c r="E75" s="1"/>
      <c r="F75" s="1"/>
      <c r="G75" s="1"/>
      <c r="H75" s="1"/>
      <c r="I75" s="1"/>
      <c r="J75" s="1"/>
      <c r="K75" s="1"/>
    </row>
    <row r="76" spans="1:11" ht="13.5" thickBo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3.5" thickBot="1">
      <c r="A77" s="13" t="s">
        <v>33</v>
      </c>
      <c r="B77" s="14" t="s">
        <v>38</v>
      </c>
      <c r="C77" s="39" t="s">
        <v>39</v>
      </c>
      <c r="D77" s="1"/>
      <c r="E77" s="1"/>
      <c r="F77" s="1"/>
      <c r="G77" s="1"/>
      <c r="H77" s="1"/>
      <c r="I77" s="1"/>
      <c r="J77" s="1"/>
      <c r="K77" s="1"/>
    </row>
    <row r="78" spans="1:11">
      <c r="A78" s="28" t="s">
        <v>34</v>
      </c>
      <c r="B78" s="41">
        <f>SUM(5506.58*6.3%+5506.58)</f>
        <v>5853.4945399999997</v>
      </c>
      <c r="C78" s="30">
        <v>11</v>
      </c>
      <c r="D78" s="1"/>
      <c r="E78" s="1"/>
      <c r="F78" s="1"/>
      <c r="G78" s="1"/>
      <c r="H78" s="1"/>
      <c r="I78" s="1"/>
      <c r="J78" s="1"/>
      <c r="K78" s="1"/>
    </row>
    <row r="79" spans="1:11" ht="13.5" thickBot="1">
      <c r="A79" s="25" t="s">
        <v>35</v>
      </c>
      <c r="B79" s="40">
        <f>SUM(6192.03*6.3%+6192.03)</f>
        <v>6582.1278899999998</v>
      </c>
      <c r="C79" s="27">
        <v>1</v>
      </c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</sheetData>
  <mergeCells count="1">
    <mergeCell ref="A2:H2"/>
  </mergeCells>
  <phoneticPr fontId="4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Fin04</cp:lastModifiedBy>
  <dcterms:created xsi:type="dcterms:W3CDTF">2009-12-18T13:41:21Z</dcterms:created>
  <dcterms:modified xsi:type="dcterms:W3CDTF">2012-05-07T20:50:16Z</dcterms:modified>
</cp:coreProperties>
</file>